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de Obra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Resumen Ejecutivo" sheetId="3" state="visible" r:id="rId3"/>
    <sheet xmlns:r="http://schemas.openxmlformats.org/officeDocument/2006/relationships" name="Lista de Materiales" sheetId="4" state="visible" r:id="rId4"/>
    <sheet xmlns:r="http://schemas.openxmlformats.org/officeDocument/2006/relationships" name="Mano de Obra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FFFFFF"/>
      <sz val="14"/>
    </font>
    <font>
      <name val="Calibri"/>
      <b val="1"/>
      <color rgb="001E3A8A"/>
      <sz val="14"/>
    </font>
    <font>
      <name val="Calibri"/>
      <b val="1"/>
      <color rgb="003B82F6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3" fillId="5" borderId="2" applyAlignment="1" pivotButton="0" quotePrefix="0" xfId="0">
      <alignment horizontal="right" vertical="center"/>
    </xf>
    <xf numFmtId="164" fontId="3" fillId="5" borderId="2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/>
    </xf>
    <xf numFmtId="164" fontId="2" fillId="0" borderId="1" pivotButton="0" quotePrefix="0" xfId="0"/>
    <xf numFmtId="0" fontId="6" fillId="2" borderId="2" applyAlignment="1" pivotButton="0" quotePrefix="0" xfId="0">
      <alignment horizontal="right" vertical="center"/>
    </xf>
    <xf numFmtId="164" fontId="6" fillId="2" borderId="2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top" wrapText="1"/>
    </xf>
    <xf numFmtId="0" fontId="7" fillId="6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/>
    </xf>
    <xf numFmtId="0" fontId="8" fillId="0" borderId="0" applyAlignment="1" pivotButton="0" quotePrefix="0" xfId="0">
      <alignment horizontal="left" vertical="top"/>
    </xf>
    <xf numFmtId="0" fontId="2" fillId="0" borderId="1" applyAlignment="1" pivotButton="0" quotePrefix="0" xfId="0">
      <alignment horizontal="left" vertical="center"/>
    </xf>
    <xf numFmtId="10" fontId="0" fillId="0" borderId="1" applyAlignment="1" pivotButton="0" quotePrefix="0" xfId="0">
      <alignment horizontal="right" vertical="center"/>
    </xf>
    <xf numFmtId="0" fontId="3" fillId="5" borderId="2" pivotButton="0" quotePrefix="0" xfId="0"/>
    <xf numFmtId="10" fontId="3" fillId="5" borderId="2" applyAlignment="1" pivotButton="0" quotePrefix="0" xfId="0">
      <alignment horizontal="right" vertical="center"/>
    </xf>
    <xf numFmtId="4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5" borderId="0" pivotButton="0" quotePrefix="0" xfId="0"/>
    <xf numFmtId="164" fontId="3" fillId="5" borderId="2" pivotButton="0" quotePrefix="0" xfId="0"/>
    <xf numFmtId="3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Costos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 Ejecutivo'!B3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Ejecutivo'!$A$4:$A$12</f>
            </numRef>
          </cat>
          <val>
            <numRef>
              <f>'Resumen Ejecutivo'!$B$4:$B$12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3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2" customWidth="1" min="3" max="3"/>
    <col width="12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8" customWidth="1" min="10" max="10"/>
  </cols>
  <sheetData>
    <row r="1" ht="35" customHeight="1">
      <c r="A1" s="1" t="inlineStr">
        <is>
          <t>PRESUPUESTO DE OBRA - CONSTRUCCIÓN</t>
        </is>
      </c>
    </row>
    <row r="3">
      <c r="A3" s="2" t="inlineStr">
        <is>
          <t>Nombre del Proyecto:</t>
        </is>
      </c>
      <c r="B3" s="3" t="inlineStr">
        <is>
          <t>Obra Nueva - Edificio Residencial</t>
        </is>
      </c>
      <c r="F3" s="2" t="inlineStr">
        <is>
          <t>Fecha:</t>
        </is>
      </c>
      <c r="G3" s="4" t="inlineStr">
        <is>
          <t>14/01/2026</t>
        </is>
      </c>
    </row>
    <row r="4">
      <c r="A4" s="2" t="inlineStr">
        <is>
          <t>Cliente:</t>
        </is>
      </c>
      <c r="B4" s="3" t="inlineStr">
        <is>
          <t>Constructora Ejemplo S.A.</t>
        </is>
      </c>
      <c r="F4" s="2" t="inlineStr">
        <is>
          <t>Ubicación:</t>
        </is>
      </c>
      <c r="G4" s="3" t="inlineStr">
        <is>
          <t>Ciudad, País</t>
        </is>
      </c>
    </row>
    <row r="5">
      <c r="A5" s="2" t="inlineStr">
        <is>
          <t>Responsable:</t>
        </is>
      </c>
      <c r="B5" s="3" t="inlineStr">
        <is>
          <t>Ing. Constructor</t>
        </is>
      </c>
      <c r="F5" s="2" t="inlineStr">
        <is>
          <t>Vigencia:</t>
        </is>
      </c>
      <c r="G5" s="4" t="inlineStr">
        <is>
          <t>30 días</t>
        </is>
      </c>
    </row>
    <row r="7" ht="30" customHeight="1">
      <c r="A7" s="5" t="inlineStr">
        <is>
          <t>ITEM</t>
        </is>
      </c>
      <c r="B7" s="5" t="inlineStr">
        <is>
          <t>DESCRIPCIÓN</t>
        </is>
      </c>
      <c r="C7" s="5" t="inlineStr">
        <is>
          <t>UNIDAD</t>
        </is>
      </c>
      <c r="D7" s="5" t="inlineStr">
        <is>
          <t>CANTIDAD</t>
        </is>
      </c>
      <c r="E7" s="5" t="inlineStr">
        <is>
          <t>PRECIO UNIT.</t>
        </is>
      </c>
      <c r="F7" s="5" t="inlineStr">
        <is>
          <t>SUBTOTAL</t>
        </is>
      </c>
      <c r="G7" s="5" t="inlineStr">
        <is>
          <t>MATERIAL</t>
        </is>
      </c>
      <c r="H7" s="5" t="inlineStr">
        <is>
          <t>MANO OBRA</t>
        </is>
      </c>
      <c r="I7" s="5" t="inlineStr">
        <is>
          <t>EQUIPOS</t>
        </is>
      </c>
      <c r="J7" s="5" t="inlineStr">
        <is>
          <t>TOTAL</t>
        </is>
      </c>
    </row>
    <row r="8" ht="25" customHeight="1">
      <c r="A8" s="6" t="inlineStr">
        <is>
          <t>PRELIMINARES</t>
        </is>
      </c>
    </row>
    <row r="9">
      <c r="A9" s="7" t="inlineStr">
        <is>
          <t>1.1</t>
        </is>
      </c>
      <c r="B9" s="8" t="inlineStr">
        <is>
          <t>Limpieza y desmonte del terreno</t>
        </is>
      </c>
      <c r="C9" s="7" t="inlineStr">
        <is>
          <t>m²</t>
        </is>
      </c>
      <c r="D9" s="9" t="n">
        <v>500</v>
      </c>
      <c r="E9" s="10" t="n">
        <v>8.5</v>
      </c>
      <c r="F9" s="11">
        <f>D9*E9</f>
        <v/>
      </c>
      <c r="G9" s="11">
        <f>F9*0.4832</f>
        <v/>
      </c>
      <c r="H9" s="11">
        <f>F9*0.2724</f>
        <v/>
      </c>
      <c r="I9" s="11">
        <f>F9*0.2444</f>
        <v/>
      </c>
      <c r="J9" s="11">
        <f>F9</f>
        <v/>
      </c>
    </row>
    <row r="10">
      <c r="A10" s="12" t="inlineStr">
        <is>
          <t>1.2</t>
        </is>
      </c>
      <c r="B10" s="13" t="inlineStr">
        <is>
          <t>Replanteo y trazado de obra</t>
        </is>
      </c>
      <c r="C10" s="12" t="inlineStr">
        <is>
          <t>m²</t>
        </is>
      </c>
      <c r="D10" s="14" t="n">
        <v>450</v>
      </c>
      <c r="E10" s="15" t="n">
        <v>5</v>
      </c>
      <c r="F10" s="16">
        <f>D10*E10</f>
        <v/>
      </c>
      <c r="G10" s="16">
        <f>F10*0.4212</f>
        <v/>
      </c>
      <c r="H10" s="16">
        <f>F10*0.2716</f>
        <v/>
      </c>
      <c r="I10" s="16">
        <f>F10*0.3072</f>
        <v/>
      </c>
      <c r="J10" s="16">
        <f>F10</f>
        <v/>
      </c>
    </row>
    <row r="11">
      <c r="A11" s="7" t="inlineStr">
        <is>
          <t>1.3</t>
        </is>
      </c>
      <c r="B11" s="8" t="inlineStr">
        <is>
          <t>Instalación de oficinas temporales</t>
        </is>
      </c>
      <c r="C11" s="7" t="inlineStr">
        <is>
          <t>GLB</t>
        </is>
      </c>
      <c r="D11" s="9" t="n">
        <v>1</v>
      </c>
      <c r="E11" s="10" t="n">
        <v>2500</v>
      </c>
      <c r="F11" s="11">
        <f>D11*E11</f>
        <v/>
      </c>
      <c r="G11" s="11">
        <f>F11*0.4205</f>
        <v/>
      </c>
      <c r="H11" s="11">
        <f>F11*0.3196</f>
        <v/>
      </c>
      <c r="I11" s="11">
        <f>F11*0.2599</f>
        <v/>
      </c>
      <c r="J11" s="11">
        <f>F11</f>
        <v/>
      </c>
    </row>
    <row r="12">
      <c r="A12" s="12" t="inlineStr">
        <is>
          <t>1.4</t>
        </is>
      </c>
      <c r="B12" s="13" t="inlineStr">
        <is>
          <t>Cerco provisional y señalización</t>
        </is>
      </c>
      <c r="C12" s="12" t="inlineStr">
        <is>
          <t>m</t>
        </is>
      </c>
      <c r="D12" s="14" t="n">
        <v>120</v>
      </c>
      <c r="E12" s="15" t="n">
        <v>35</v>
      </c>
      <c r="F12" s="16">
        <f>D12*E12</f>
        <v/>
      </c>
      <c r="G12" s="16">
        <f>F12*0.5224</f>
        <v/>
      </c>
      <c r="H12" s="16">
        <f>F12*0.3134</f>
        <v/>
      </c>
      <c r="I12" s="16">
        <f>F12*0.1642</f>
        <v/>
      </c>
      <c r="J12" s="16">
        <f>F12</f>
        <v/>
      </c>
    </row>
    <row r="13" ht="25" customHeight="1">
      <c r="A13" s="6" t="inlineStr">
        <is>
          <t>MOVIMIENTO DE TIERRAS</t>
        </is>
      </c>
    </row>
    <row r="14">
      <c r="A14" s="12" t="inlineStr">
        <is>
          <t>2.1</t>
        </is>
      </c>
      <c r="B14" s="13" t="inlineStr">
        <is>
          <t>Excavación de zanjas para cimientos</t>
        </is>
      </c>
      <c r="C14" s="12" t="inlineStr">
        <is>
          <t>m³</t>
        </is>
      </c>
      <c r="D14" s="14" t="n">
        <v>180</v>
      </c>
      <c r="E14" s="15" t="n">
        <v>25</v>
      </c>
      <c r="F14" s="16">
        <f>D14*E14</f>
        <v/>
      </c>
      <c r="G14" s="16">
        <f>F14*0.4970</f>
        <v/>
      </c>
      <c r="H14" s="16">
        <f>F14*0.2591</f>
        <v/>
      </c>
      <c r="I14" s="16">
        <f>F14*0.2439</f>
        <v/>
      </c>
      <c r="J14" s="16">
        <f>F14</f>
        <v/>
      </c>
    </row>
    <row r="15">
      <c r="A15" s="7" t="inlineStr">
        <is>
          <t>2.2</t>
        </is>
      </c>
      <c r="B15" s="8" t="inlineStr">
        <is>
          <t>Relleno compactado con material de préstamo</t>
        </is>
      </c>
      <c r="C15" s="7" t="inlineStr">
        <is>
          <t>m³</t>
        </is>
      </c>
      <c r="D15" s="9" t="n">
        <v>150</v>
      </c>
      <c r="E15" s="10" t="n">
        <v>18</v>
      </c>
      <c r="F15" s="11">
        <f>D15*E15</f>
        <v/>
      </c>
      <c r="G15" s="11">
        <f>F15*0.5460</f>
        <v/>
      </c>
      <c r="H15" s="11">
        <f>F15*0.2634</f>
        <v/>
      </c>
      <c r="I15" s="11">
        <f>F15*0.1906</f>
        <v/>
      </c>
      <c r="J15" s="11">
        <f>F15</f>
        <v/>
      </c>
    </row>
    <row r="16">
      <c r="A16" s="12" t="inlineStr">
        <is>
          <t>2.3</t>
        </is>
      </c>
      <c r="B16" s="13" t="inlineStr">
        <is>
          <t>Eliminación de material excedente</t>
        </is>
      </c>
      <c r="C16" s="12" t="inlineStr">
        <is>
          <t>m³</t>
        </is>
      </c>
      <c r="D16" s="14" t="n">
        <v>200</v>
      </c>
      <c r="E16" s="15" t="n">
        <v>22</v>
      </c>
      <c r="F16" s="16">
        <f>D16*E16</f>
        <v/>
      </c>
      <c r="G16" s="16">
        <f>F16*0.5203</f>
        <v/>
      </c>
      <c r="H16" s="16">
        <f>F16*0.3135</f>
        <v/>
      </c>
      <c r="I16" s="16">
        <f>F16*0.1662</f>
        <v/>
      </c>
      <c r="J16" s="16">
        <f>F16</f>
        <v/>
      </c>
    </row>
    <row r="17">
      <c r="A17" s="7" t="inlineStr">
        <is>
          <t>2.4</t>
        </is>
      </c>
      <c r="B17" s="8" t="inlineStr">
        <is>
          <t>Nivelación de terreno</t>
        </is>
      </c>
      <c r="C17" s="7" t="inlineStr">
        <is>
          <t>m²</t>
        </is>
      </c>
      <c r="D17" s="9" t="n">
        <v>450</v>
      </c>
      <c r="E17" s="10" t="n">
        <v>6.5</v>
      </c>
      <c r="F17" s="11">
        <f>D17*E17</f>
        <v/>
      </c>
      <c r="G17" s="11">
        <f>F17*0.4233</f>
        <v/>
      </c>
      <c r="H17" s="11">
        <f>F17*0.3468</f>
        <v/>
      </c>
      <c r="I17" s="11">
        <f>F17*0.2299</f>
        <v/>
      </c>
      <c r="J17" s="11">
        <f>F17</f>
        <v/>
      </c>
    </row>
    <row r="18" ht="25" customHeight="1">
      <c r="A18" s="6" t="inlineStr">
        <is>
          <t>OBRAS DE CONCRETO</t>
        </is>
      </c>
    </row>
    <row r="19">
      <c r="A19" s="7" t="inlineStr">
        <is>
          <t>3.1</t>
        </is>
      </c>
      <c r="B19" s="8" t="inlineStr">
        <is>
          <t>Concreto para cimientos f'c=210 kg/cm²</t>
        </is>
      </c>
      <c r="C19" s="7" t="inlineStr">
        <is>
          <t>m³</t>
        </is>
      </c>
      <c r="D19" s="9" t="n">
        <v>85</v>
      </c>
      <c r="E19" s="10" t="n">
        <v>320</v>
      </c>
      <c r="F19" s="11">
        <f>D19*E19</f>
        <v/>
      </c>
      <c r="G19" s="11">
        <f>F19*0.5284</f>
        <v/>
      </c>
      <c r="H19" s="11">
        <f>F19*0.2991</f>
        <v/>
      </c>
      <c r="I19" s="11">
        <f>F19*0.1725</f>
        <v/>
      </c>
      <c r="J19" s="11">
        <f>F19</f>
        <v/>
      </c>
    </row>
    <row r="20">
      <c r="A20" s="12" t="inlineStr">
        <is>
          <t>3.2</t>
        </is>
      </c>
      <c r="B20" s="13" t="inlineStr">
        <is>
          <t>Concreto para columnas f'c=210 kg/cm²</t>
        </is>
      </c>
      <c r="C20" s="12" t="inlineStr">
        <is>
          <t>m³</t>
        </is>
      </c>
      <c r="D20" s="14" t="n">
        <v>45</v>
      </c>
      <c r="E20" s="15" t="n">
        <v>350</v>
      </c>
      <c r="F20" s="16">
        <f>D20*E20</f>
        <v/>
      </c>
      <c r="G20" s="16">
        <f>F20*0.4949</f>
        <v/>
      </c>
      <c r="H20" s="16">
        <f>F20*0.2782</f>
        <v/>
      </c>
      <c r="I20" s="16">
        <f>F20*0.2269</f>
        <v/>
      </c>
      <c r="J20" s="16">
        <f>F20</f>
        <v/>
      </c>
    </row>
    <row r="21">
      <c r="A21" s="7" t="inlineStr">
        <is>
          <t>3.3</t>
        </is>
      </c>
      <c r="B21" s="8" t="inlineStr">
        <is>
          <t>Concreto para vigas f'c=210 kg/cm²</t>
        </is>
      </c>
      <c r="C21" s="7" t="inlineStr">
        <is>
          <t>m³</t>
        </is>
      </c>
      <c r="D21" s="9" t="n">
        <v>38</v>
      </c>
      <c r="E21" s="10" t="n">
        <v>350</v>
      </c>
      <c r="F21" s="11">
        <f>D21*E21</f>
        <v/>
      </c>
      <c r="G21" s="11">
        <f>F21*0.4884</f>
        <v/>
      </c>
      <c r="H21" s="11">
        <f>F21*0.3297</f>
        <v/>
      </c>
      <c r="I21" s="11">
        <f>F21*0.1819</f>
        <v/>
      </c>
      <c r="J21" s="11">
        <f>F21</f>
        <v/>
      </c>
    </row>
    <row r="22">
      <c r="A22" s="12" t="inlineStr">
        <is>
          <t>3.4</t>
        </is>
      </c>
      <c r="B22" s="13" t="inlineStr">
        <is>
          <t>Losa de concreto armado e=20cm</t>
        </is>
      </c>
      <c r="C22" s="12" t="inlineStr">
        <is>
          <t>m²</t>
        </is>
      </c>
      <c r="D22" s="14" t="n">
        <v>420</v>
      </c>
      <c r="E22" s="15" t="n">
        <v>95</v>
      </c>
      <c r="F22" s="16">
        <f>D22*E22</f>
        <v/>
      </c>
      <c r="G22" s="16">
        <f>F22*0.5411</f>
        <v/>
      </c>
      <c r="H22" s="16">
        <f>F22*0.3005</f>
        <v/>
      </c>
      <c r="I22" s="16">
        <f>F22*0.1584</f>
        <v/>
      </c>
      <c r="J22" s="16">
        <f>F22</f>
        <v/>
      </c>
    </row>
    <row r="23">
      <c r="A23" s="7" t="inlineStr">
        <is>
          <t>3.5</t>
        </is>
      </c>
      <c r="B23" s="8" t="inlineStr">
        <is>
          <t>Encofrado y desencofrado de columnas</t>
        </is>
      </c>
      <c r="C23" s="7" t="inlineStr">
        <is>
          <t>m²</t>
        </is>
      </c>
      <c r="D23" s="9" t="n">
        <v>180</v>
      </c>
      <c r="E23" s="10" t="n">
        <v>28</v>
      </c>
      <c r="F23" s="11">
        <f>D23*E23</f>
        <v/>
      </c>
      <c r="G23" s="11">
        <f>F23*0.4154</f>
        <v/>
      </c>
      <c r="H23" s="11">
        <f>F23*0.3295</f>
        <v/>
      </c>
      <c r="I23" s="11">
        <f>F23*0.2551</f>
        <v/>
      </c>
      <c r="J23" s="11">
        <f>F23</f>
        <v/>
      </c>
    </row>
    <row r="24">
      <c r="A24" s="12" t="inlineStr">
        <is>
          <t>3.6</t>
        </is>
      </c>
      <c r="B24" s="13" t="inlineStr">
        <is>
          <t>Acero de refuerzo fy=4200 kg/cm²</t>
        </is>
      </c>
      <c r="C24" s="12" t="inlineStr">
        <is>
          <t>kg</t>
        </is>
      </c>
      <c r="D24" s="14" t="n">
        <v>8500</v>
      </c>
      <c r="E24" s="15" t="n">
        <v>3.2</v>
      </c>
      <c r="F24" s="16">
        <f>D24*E24</f>
        <v/>
      </c>
      <c r="G24" s="16">
        <f>F24*0.5014</f>
        <v/>
      </c>
      <c r="H24" s="16">
        <f>F24*0.2554</f>
        <v/>
      </c>
      <c r="I24" s="16">
        <f>F24*0.2432</f>
        <v/>
      </c>
      <c r="J24" s="16">
        <f>F24</f>
        <v/>
      </c>
    </row>
    <row r="25" ht="25" customHeight="1">
      <c r="A25" s="6" t="inlineStr">
        <is>
          <t>ALBAÑILERÍA</t>
        </is>
      </c>
    </row>
    <row r="26">
      <c r="A26" s="12" t="inlineStr">
        <is>
          <t>4.1</t>
        </is>
      </c>
      <c r="B26" s="13" t="inlineStr">
        <is>
          <t>Muro de ladrillo king kong 18 huecos</t>
        </is>
      </c>
      <c r="C26" s="12" t="inlineStr">
        <is>
          <t>m²</t>
        </is>
      </c>
      <c r="D26" s="14" t="n">
        <v>650</v>
      </c>
      <c r="E26" s="15" t="n">
        <v>45</v>
      </c>
      <c r="F26" s="16">
        <f>D26*E26</f>
        <v/>
      </c>
      <c r="G26" s="16">
        <f>F26*0.5149</f>
        <v/>
      </c>
      <c r="H26" s="16">
        <f>F26*0.2578</f>
        <v/>
      </c>
      <c r="I26" s="16">
        <f>F26*0.2272</f>
        <v/>
      </c>
      <c r="J26" s="16">
        <f>F26</f>
        <v/>
      </c>
    </row>
    <row r="27">
      <c r="A27" s="7" t="inlineStr">
        <is>
          <t>4.2</t>
        </is>
      </c>
      <c r="B27" s="8" t="inlineStr">
        <is>
          <t>Tarrajeo en interiores mezcla 1:5</t>
        </is>
      </c>
      <c r="C27" s="7" t="inlineStr">
        <is>
          <t>m²</t>
        </is>
      </c>
      <c r="D27" s="9" t="n">
        <v>850</v>
      </c>
      <c r="E27" s="10" t="n">
        <v>18</v>
      </c>
      <c r="F27" s="11">
        <f>D27*E27</f>
        <v/>
      </c>
      <c r="G27" s="11">
        <f>F27*0.4168</f>
        <v/>
      </c>
      <c r="H27" s="11">
        <f>F27*0.3405</f>
        <v/>
      </c>
      <c r="I27" s="11">
        <f>F27*0.2427</f>
        <v/>
      </c>
      <c r="J27" s="11">
        <f>F27</f>
        <v/>
      </c>
    </row>
    <row r="28">
      <c r="A28" s="12" t="inlineStr">
        <is>
          <t>4.3</t>
        </is>
      </c>
      <c r="B28" s="13" t="inlineStr">
        <is>
          <t>Tarrajeo en exteriores mezcla 1:4</t>
        </is>
      </c>
      <c r="C28" s="12" t="inlineStr">
        <is>
          <t>m²</t>
        </is>
      </c>
      <c r="D28" s="14" t="n">
        <v>520</v>
      </c>
      <c r="E28" s="15" t="n">
        <v>22</v>
      </c>
      <c r="F28" s="16">
        <f>D28*E28</f>
        <v/>
      </c>
      <c r="G28" s="16">
        <f>F28*0.5029</f>
        <v/>
      </c>
      <c r="H28" s="16">
        <f>F28*0.2742</f>
        <v/>
      </c>
      <c r="I28" s="16">
        <f>F28*0.2229</f>
        <v/>
      </c>
      <c r="J28" s="16">
        <f>F28</f>
        <v/>
      </c>
    </row>
    <row r="29">
      <c r="A29" s="7" t="inlineStr">
        <is>
          <t>4.4</t>
        </is>
      </c>
      <c r="B29" s="8" t="inlineStr">
        <is>
          <t>Contrapiso de 4" mezcla 1:8</t>
        </is>
      </c>
      <c r="C29" s="7" t="inlineStr">
        <is>
          <t>m²</t>
        </is>
      </c>
      <c r="D29" s="9" t="n">
        <v>420</v>
      </c>
      <c r="E29" s="10" t="n">
        <v>28</v>
      </c>
      <c r="F29" s="11">
        <f>D29*E29</f>
        <v/>
      </c>
      <c r="G29" s="11">
        <f>F29*0.4265</f>
        <v/>
      </c>
      <c r="H29" s="11">
        <f>F29*0.2776</f>
        <v/>
      </c>
      <c r="I29" s="11">
        <f>F29*0.2959</f>
        <v/>
      </c>
      <c r="J29" s="11">
        <f>F29</f>
        <v/>
      </c>
    </row>
    <row r="30" ht="25" customHeight="1">
      <c r="A30" s="6" t="inlineStr">
        <is>
          <t>PISOS Y REVESTIMIENTOS</t>
        </is>
      </c>
    </row>
    <row r="31">
      <c r="A31" s="7" t="inlineStr">
        <is>
          <t>5.1</t>
        </is>
      </c>
      <c r="B31" s="8" t="inlineStr">
        <is>
          <t>Piso cerámico antideslizante 40x40cm</t>
        </is>
      </c>
      <c r="C31" s="7" t="inlineStr">
        <is>
          <t>m²</t>
        </is>
      </c>
      <c r="D31" s="9" t="n">
        <v>280</v>
      </c>
      <c r="E31" s="10" t="n">
        <v>55</v>
      </c>
      <c r="F31" s="11">
        <f>D31*E31</f>
        <v/>
      </c>
      <c r="G31" s="11">
        <f>F31*0.4318</f>
        <v/>
      </c>
      <c r="H31" s="11">
        <f>F31*0.2687</f>
        <v/>
      </c>
      <c r="I31" s="11">
        <f>F31*0.2995</f>
        <v/>
      </c>
      <c r="J31" s="11">
        <f>F31</f>
        <v/>
      </c>
    </row>
    <row r="32">
      <c r="A32" s="12" t="inlineStr">
        <is>
          <t>5.2</t>
        </is>
      </c>
      <c r="B32" s="13" t="inlineStr">
        <is>
          <t>Piso porcelanato 60x60cm</t>
        </is>
      </c>
      <c r="C32" s="12" t="inlineStr">
        <is>
          <t>m²</t>
        </is>
      </c>
      <c r="D32" s="14" t="n">
        <v>140</v>
      </c>
      <c r="E32" s="15" t="n">
        <v>85</v>
      </c>
      <c r="F32" s="16">
        <f>D32*E32</f>
        <v/>
      </c>
      <c r="G32" s="16">
        <f>F32*0.5395</f>
        <v/>
      </c>
      <c r="H32" s="16">
        <f>F32*0.3438</f>
        <v/>
      </c>
      <c r="I32" s="16">
        <f>F32*0.1167</f>
        <v/>
      </c>
      <c r="J32" s="16">
        <f>F32</f>
        <v/>
      </c>
    </row>
    <row r="33">
      <c r="A33" s="7" t="inlineStr">
        <is>
          <t>5.3</t>
        </is>
      </c>
      <c r="B33" s="8" t="inlineStr">
        <is>
          <t>Revestimiento cerámico en baños</t>
        </is>
      </c>
      <c r="C33" s="7" t="inlineStr">
        <is>
          <t>m²</t>
        </is>
      </c>
      <c r="D33" s="9" t="n">
        <v>95</v>
      </c>
      <c r="E33" s="10" t="n">
        <v>48</v>
      </c>
      <c r="F33" s="11">
        <f>D33*E33</f>
        <v/>
      </c>
      <c r="G33" s="11">
        <f>F33*0.4558</f>
        <v/>
      </c>
      <c r="H33" s="11">
        <f>F33*0.3494</f>
        <v/>
      </c>
      <c r="I33" s="11">
        <f>F33*0.1947</f>
        <v/>
      </c>
      <c r="J33" s="11">
        <f>F33</f>
        <v/>
      </c>
    </row>
    <row r="34">
      <c r="A34" s="12" t="inlineStr">
        <is>
          <t>5.4</t>
        </is>
      </c>
      <c r="B34" s="13" t="inlineStr">
        <is>
          <t>Zócalo de cerámico h=10cm</t>
        </is>
      </c>
      <c r="C34" s="12" t="inlineStr">
        <is>
          <t>m</t>
        </is>
      </c>
      <c r="D34" s="14" t="n">
        <v>180</v>
      </c>
      <c r="E34" s="15" t="n">
        <v>12</v>
      </c>
      <c r="F34" s="16">
        <f>D34*E34</f>
        <v/>
      </c>
      <c r="G34" s="16">
        <f>F34*0.4016</f>
        <v/>
      </c>
      <c r="H34" s="16">
        <f>F34*0.3131</f>
        <v/>
      </c>
      <c r="I34" s="16">
        <f>F34*0.2853</f>
        <v/>
      </c>
      <c r="J34" s="16">
        <f>F34</f>
        <v/>
      </c>
    </row>
    <row r="35" ht="25" customHeight="1">
      <c r="A35" s="6" t="inlineStr">
        <is>
          <t>INSTALACIONES SANITARIAS</t>
        </is>
      </c>
    </row>
    <row r="36">
      <c r="A36" s="12" t="inlineStr">
        <is>
          <t>6.1</t>
        </is>
      </c>
      <c r="B36" s="13" t="inlineStr">
        <is>
          <t>Red de agua fría PVC SAP 3/4"</t>
        </is>
      </c>
      <c r="C36" s="12" t="inlineStr">
        <is>
          <t>pto</t>
        </is>
      </c>
      <c r="D36" s="14" t="n">
        <v>18</v>
      </c>
      <c r="E36" s="15" t="n">
        <v>125</v>
      </c>
      <c r="F36" s="16">
        <f>D36*E36</f>
        <v/>
      </c>
      <c r="G36" s="16">
        <f>F36*0.5348</f>
        <v/>
      </c>
      <c r="H36" s="16">
        <f>F36*0.3406</f>
        <v/>
      </c>
      <c r="I36" s="16">
        <f>F36*0.1246</f>
        <v/>
      </c>
      <c r="J36" s="16">
        <f>F36</f>
        <v/>
      </c>
    </row>
    <row r="37">
      <c r="A37" s="7" t="inlineStr">
        <is>
          <t>6.2</t>
        </is>
      </c>
      <c r="B37" s="8" t="inlineStr">
        <is>
          <t>Red de desagüe PVC SAL 4"</t>
        </is>
      </c>
      <c r="C37" s="7" t="inlineStr">
        <is>
          <t>pto</t>
        </is>
      </c>
      <c r="D37" s="9" t="n">
        <v>16</v>
      </c>
      <c r="E37" s="10" t="n">
        <v>145</v>
      </c>
      <c r="F37" s="11">
        <f>D37*E37</f>
        <v/>
      </c>
      <c r="G37" s="11">
        <f>F37*0.5445</f>
        <v/>
      </c>
      <c r="H37" s="11">
        <f>F37*0.2586</f>
        <v/>
      </c>
      <c r="I37" s="11">
        <f>F37*0.1969</f>
        <v/>
      </c>
      <c r="J37" s="11">
        <f>F37</f>
        <v/>
      </c>
    </row>
    <row r="38">
      <c r="A38" s="12" t="inlineStr">
        <is>
          <t>6.3</t>
        </is>
      </c>
      <c r="B38" s="13" t="inlineStr">
        <is>
          <t>Suministro e instalación de inodoro</t>
        </is>
      </c>
      <c r="C38" s="12" t="inlineStr">
        <is>
          <t>pza</t>
        </is>
      </c>
      <c r="D38" s="14" t="n">
        <v>8</v>
      </c>
      <c r="E38" s="15" t="n">
        <v>350</v>
      </c>
      <c r="F38" s="16">
        <f>D38*E38</f>
        <v/>
      </c>
      <c r="G38" s="16">
        <f>F38*0.4334</f>
        <v/>
      </c>
      <c r="H38" s="16">
        <f>F38*0.2704</f>
        <v/>
      </c>
      <c r="I38" s="16">
        <f>F38*0.2962</f>
        <v/>
      </c>
      <c r="J38" s="16">
        <f>F38</f>
        <v/>
      </c>
    </row>
    <row r="39">
      <c r="A39" s="7" t="inlineStr">
        <is>
          <t>6.4</t>
        </is>
      </c>
      <c r="B39" s="8" t="inlineStr">
        <is>
          <t>Suministro e instalación de lavatorio</t>
        </is>
      </c>
      <c r="C39" s="7" t="inlineStr">
        <is>
          <t>pza</t>
        </is>
      </c>
      <c r="D39" s="9" t="n">
        <v>8</v>
      </c>
      <c r="E39" s="10" t="n">
        <v>280</v>
      </c>
      <c r="F39" s="11">
        <f>D39*E39</f>
        <v/>
      </c>
      <c r="G39" s="11">
        <f>F39*0.5323</f>
        <v/>
      </c>
      <c r="H39" s="11">
        <f>F39*0.2765</f>
        <v/>
      </c>
      <c r="I39" s="11">
        <f>F39*0.1912</f>
        <v/>
      </c>
      <c r="J39" s="11">
        <f>F39</f>
        <v/>
      </c>
    </row>
    <row r="40">
      <c r="A40" s="12" t="inlineStr">
        <is>
          <t>6.5</t>
        </is>
      </c>
      <c r="B40" s="13" t="inlineStr">
        <is>
          <t>Sistema de agua caliente</t>
        </is>
      </c>
      <c r="C40" s="12" t="inlineStr">
        <is>
          <t>GLB</t>
        </is>
      </c>
      <c r="D40" s="14" t="n">
        <v>1</v>
      </c>
      <c r="E40" s="15" t="n">
        <v>2800</v>
      </c>
      <c r="F40" s="16">
        <f>D40*E40</f>
        <v/>
      </c>
      <c r="G40" s="16">
        <f>F40*0.5119</f>
        <v/>
      </c>
      <c r="H40" s="16">
        <f>F40*0.3289</f>
        <v/>
      </c>
      <c r="I40" s="16">
        <f>F40*0.1592</f>
        <v/>
      </c>
      <c r="J40" s="16">
        <f>F40</f>
        <v/>
      </c>
    </row>
    <row r="41" ht="25" customHeight="1">
      <c r="A41" s="6" t="inlineStr">
        <is>
          <t>INSTALACIONES ELÉCTRICAS</t>
        </is>
      </c>
    </row>
    <row r="42">
      <c r="A42" s="12" t="inlineStr">
        <is>
          <t>7.1</t>
        </is>
      </c>
      <c r="B42" s="13" t="inlineStr">
        <is>
          <t>Salida de centro de luz</t>
        </is>
      </c>
      <c r="C42" s="12" t="inlineStr">
        <is>
          <t>pto</t>
        </is>
      </c>
      <c r="D42" s="14" t="n">
        <v>35</v>
      </c>
      <c r="E42" s="15" t="n">
        <v>65</v>
      </c>
      <c r="F42" s="16">
        <f>D42*E42</f>
        <v/>
      </c>
      <c r="G42" s="16">
        <f>F42*0.4014</f>
        <v/>
      </c>
      <c r="H42" s="16">
        <f>F42*0.2658</f>
        <v/>
      </c>
      <c r="I42" s="16">
        <f>F42*0.3328</f>
        <v/>
      </c>
      <c r="J42" s="16">
        <f>F42</f>
        <v/>
      </c>
    </row>
    <row r="43">
      <c r="A43" s="7" t="inlineStr">
        <is>
          <t>7.2</t>
        </is>
      </c>
      <c r="B43" s="8" t="inlineStr">
        <is>
          <t>Salida de tomacorriente doble</t>
        </is>
      </c>
      <c r="C43" s="7" t="inlineStr">
        <is>
          <t>pto</t>
        </is>
      </c>
      <c r="D43" s="9" t="n">
        <v>45</v>
      </c>
      <c r="E43" s="10" t="n">
        <v>75</v>
      </c>
      <c r="F43" s="11">
        <f>D43*E43</f>
        <v/>
      </c>
      <c r="G43" s="11">
        <f>F43*0.4871</f>
        <v/>
      </c>
      <c r="H43" s="11">
        <f>F43*0.2733</f>
        <v/>
      </c>
      <c r="I43" s="11">
        <f>F43*0.2396</f>
        <v/>
      </c>
      <c r="J43" s="11">
        <f>F43</f>
        <v/>
      </c>
    </row>
    <row r="44">
      <c r="A44" s="12" t="inlineStr">
        <is>
          <t>7.3</t>
        </is>
      </c>
      <c r="B44" s="13" t="inlineStr">
        <is>
          <t>Tablero general con interruptores</t>
        </is>
      </c>
      <c r="C44" s="12" t="inlineStr">
        <is>
          <t>und</t>
        </is>
      </c>
      <c r="D44" s="14" t="n">
        <v>2</v>
      </c>
      <c r="E44" s="15" t="n">
        <v>850</v>
      </c>
      <c r="F44" s="16">
        <f>D44*E44</f>
        <v/>
      </c>
      <c r="G44" s="16">
        <f>F44*0.4328</f>
        <v/>
      </c>
      <c r="H44" s="16">
        <f>F44*0.2629</f>
        <v/>
      </c>
      <c r="I44" s="16">
        <f>F44*0.3042</f>
        <v/>
      </c>
      <c r="J44" s="16">
        <f>F44</f>
        <v/>
      </c>
    </row>
    <row r="45">
      <c r="A45" s="7" t="inlineStr">
        <is>
          <t>7.4</t>
        </is>
      </c>
      <c r="B45" s="8" t="inlineStr">
        <is>
          <t>Cableado eléctrico NYY 3x10mm²</t>
        </is>
      </c>
      <c r="C45" s="7" t="inlineStr">
        <is>
          <t>m</t>
        </is>
      </c>
      <c r="D45" s="9" t="n">
        <v>280</v>
      </c>
      <c r="E45" s="10" t="n">
        <v>8.5</v>
      </c>
      <c r="F45" s="11">
        <f>D45*E45</f>
        <v/>
      </c>
      <c r="G45" s="11">
        <f>F45*0.4816</f>
        <v/>
      </c>
      <c r="H45" s="11">
        <f>F45*0.2914</f>
        <v/>
      </c>
      <c r="I45" s="11">
        <f>F45*0.2270</f>
        <v/>
      </c>
      <c r="J45" s="11">
        <f>F45</f>
        <v/>
      </c>
    </row>
    <row r="46">
      <c r="A46" s="12" t="inlineStr">
        <is>
          <t>7.5</t>
        </is>
      </c>
      <c r="B46" s="13" t="inlineStr">
        <is>
          <t>Pozo a tierra</t>
        </is>
      </c>
      <c r="C46" s="12" t="inlineStr">
        <is>
          <t>und</t>
        </is>
      </c>
      <c r="D46" s="14" t="n">
        <v>1</v>
      </c>
      <c r="E46" s="15" t="n">
        <v>650</v>
      </c>
      <c r="F46" s="16">
        <f>D46*E46</f>
        <v/>
      </c>
      <c r="G46" s="16">
        <f>F46*0.5105</f>
        <v/>
      </c>
      <c r="H46" s="16">
        <f>F46*0.2978</f>
        <v/>
      </c>
      <c r="I46" s="16">
        <f>F46*0.1917</f>
        <v/>
      </c>
      <c r="J46" s="16">
        <f>F46</f>
        <v/>
      </c>
    </row>
    <row r="47" ht="25" customHeight="1">
      <c r="A47" s="6" t="inlineStr">
        <is>
          <t>CARPINTERÍA Y VIDRIOS</t>
        </is>
      </c>
    </row>
    <row r="48">
      <c r="A48" s="12" t="inlineStr">
        <is>
          <t>8.1</t>
        </is>
      </c>
      <c r="B48" s="13" t="inlineStr">
        <is>
          <t>Puerta contraplacada de madera</t>
        </is>
      </c>
      <c r="C48" s="12" t="inlineStr">
        <is>
          <t>und</t>
        </is>
      </c>
      <c r="D48" s="14" t="n">
        <v>12</v>
      </c>
      <c r="E48" s="15" t="n">
        <v>450</v>
      </c>
      <c r="F48" s="16">
        <f>D48*E48</f>
        <v/>
      </c>
      <c r="G48" s="16">
        <f>F48*0.5022</f>
        <v/>
      </c>
      <c r="H48" s="16">
        <f>F48*0.2664</f>
        <v/>
      </c>
      <c r="I48" s="16">
        <f>F48*0.2314</f>
        <v/>
      </c>
      <c r="J48" s="16">
        <f>F48</f>
        <v/>
      </c>
    </row>
    <row r="49">
      <c r="A49" s="7" t="inlineStr">
        <is>
          <t>8.2</t>
        </is>
      </c>
      <c r="B49" s="8" t="inlineStr">
        <is>
          <t>Ventana de aluminio y vidrio</t>
        </is>
      </c>
      <c r="C49" s="7" t="inlineStr">
        <is>
          <t>m²</t>
        </is>
      </c>
      <c r="D49" s="9" t="n">
        <v>45</v>
      </c>
      <c r="E49" s="10" t="n">
        <v>185</v>
      </c>
      <c r="F49" s="11">
        <f>D49*E49</f>
        <v/>
      </c>
      <c r="G49" s="11">
        <f>F49*0.4548</f>
        <v/>
      </c>
      <c r="H49" s="11">
        <f>F49*0.3207</f>
        <v/>
      </c>
      <c r="I49" s="11">
        <f>F49*0.2245</f>
        <v/>
      </c>
      <c r="J49" s="11">
        <f>F49</f>
        <v/>
      </c>
    </row>
    <row r="50">
      <c r="A50" s="12" t="inlineStr">
        <is>
          <t>8.3</t>
        </is>
      </c>
      <c r="B50" s="13" t="inlineStr">
        <is>
          <t>Closet empotrado de melamina</t>
        </is>
      </c>
      <c r="C50" s="12" t="inlineStr">
        <is>
          <t>m</t>
        </is>
      </c>
      <c r="D50" s="14" t="n">
        <v>18</v>
      </c>
      <c r="E50" s="15" t="n">
        <v>320</v>
      </c>
      <c r="F50" s="16">
        <f>D50*E50</f>
        <v/>
      </c>
      <c r="G50" s="16">
        <f>F50*0.4823</f>
        <v/>
      </c>
      <c r="H50" s="16">
        <f>F50*0.3207</f>
        <v/>
      </c>
      <c r="I50" s="16">
        <f>F50*0.1970</f>
        <v/>
      </c>
      <c r="J50" s="16">
        <f>F50</f>
        <v/>
      </c>
    </row>
    <row r="51">
      <c r="A51" s="7" t="inlineStr">
        <is>
          <t>8.4</t>
        </is>
      </c>
      <c r="B51" s="8" t="inlineStr">
        <is>
          <t>Mueble de cocina bajo y alto</t>
        </is>
      </c>
      <c r="C51" s="7" t="inlineStr">
        <is>
          <t>m</t>
        </is>
      </c>
      <c r="D51" s="9" t="n">
        <v>8</v>
      </c>
      <c r="E51" s="10" t="n">
        <v>450</v>
      </c>
      <c r="F51" s="11">
        <f>D51*E51</f>
        <v/>
      </c>
      <c r="G51" s="11">
        <f>F51*0.4539</f>
        <v/>
      </c>
      <c r="H51" s="11">
        <f>F51*0.3239</f>
        <v/>
      </c>
      <c r="I51" s="11">
        <f>F51*0.2223</f>
        <v/>
      </c>
      <c r="J51" s="11">
        <f>F51</f>
        <v/>
      </c>
    </row>
    <row r="52" ht="25" customHeight="1">
      <c r="A52" s="6" t="inlineStr">
        <is>
          <t>PINTURA</t>
        </is>
      </c>
    </row>
    <row r="53">
      <c r="A53" s="7" t="inlineStr">
        <is>
          <t>9.1</t>
        </is>
      </c>
      <c r="B53" s="8" t="inlineStr">
        <is>
          <t>Pintura látex en interiores (2 manos)</t>
        </is>
      </c>
      <c r="C53" s="7" t="inlineStr">
        <is>
          <t>m²</t>
        </is>
      </c>
      <c r="D53" s="9" t="n">
        <v>850</v>
      </c>
      <c r="E53" s="10" t="n">
        <v>12</v>
      </c>
      <c r="F53" s="11">
        <f>D53*E53</f>
        <v/>
      </c>
      <c r="G53" s="11">
        <f>F53*0.4762</f>
        <v/>
      </c>
      <c r="H53" s="11">
        <f>F53*0.3203</f>
        <v/>
      </c>
      <c r="I53" s="11">
        <f>F53*0.2034</f>
        <v/>
      </c>
      <c r="J53" s="11">
        <f>F53</f>
        <v/>
      </c>
    </row>
    <row r="54">
      <c r="A54" s="12" t="inlineStr">
        <is>
          <t>9.2</t>
        </is>
      </c>
      <c r="B54" s="13" t="inlineStr">
        <is>
          <t>Pintura látex en exteriores (2 manos)</t>
        </is>
      </c>
      <c r="C54" s="12" t="inlineStr">
        <is>
          <t>m²</t>
        </is>
      </c>
      <c r="D54" s="14" t="n">
        <v>520</v>
      </c>
      <c r="E54" s="15" t="n">
        <v>15</v>
      </c>
      <c r="F54" s="16">
        <f>D54*E54</f>
        <v/>
      </c>
      <c r="G54" s="16">
        <f>F54*0.4908</f>
        <v/>
      </c>
      <c r="H54" s="16">
        <f>F54*0.3182</f>
        <v/>
      </c>
      <c r="I54" s="16">
        <f>F54*0.1910</f>
        <v/>
      </c>
      <c r="J54" s="16">
        <f>F54</f>
        <v/>
      </c>
    </row>
    <row r="55">
      <c r="A55" s="7" t="inlineStr">
        <is>
          <t>9.3</t>
        </is>
      </c>
      <c r="B55" s="8" t="inlineStr">
        <is>
          <t>Barniz en carpintería de madera</t>
        </is>
      </c>
      <c r="C55" s="7" t="inlineStr">
        <is>
          <t>m²</t>
        </is>
      </c>
      <c r="D55" s="9" t="n">
        <v>65</v>
      </c>
      <c r="E55" s="10" t="n">
        <v>18</v>
      </c>
      <c r="F55" s="11">
        <f>D55*E55</f>
        <v/>
      </c>
      <c r="G55" s="11">
        <f>F55*0.5436</f>
        <v/>
      </c>
      <c r="H55" s="11">
        <f>F55*0.3096</f>
        <v/>
      </c>
      <c r="I55" s="11">
        <f>F55*0.1468</f>
        <v/>
      </c>
      <c r="J55" s="11">
        <f>F55</f>
        <v/>
      </c>
    </row>
    <row r="57" ht="25" customHeight="1">
      <c r="A57" s="17" t="inlineStr">
        <is>
          <t>COSTO DIRECTO</t>
        </is>
      </c>
      <c r="F57" s="18">
        <f>SUM(F8:F55)</f>
        <v/>
      </c>
      <c r="G57" s="18">
        <f>SUM(G8:G55)</f>
        <v/>
      </c>
      <c r="H57" s="18">
        <f>SUM(H8:H55)</f>
        <v/>
      </c>
      <c r="I57" s="18">
        <f>SUM(I8:I55)</f>
        <v/>
      </c>
      <c r="J57" s="18">
        <f>SUM(J8:J55)</f>
        <v/>
      </c>
    </row>
    <row r="59">
      <c r="A59" s="19" t="inlineStr">
        <is>
          <t>GASTOS GENERALES (10%)</t>
        </is>
      </c>
      <c r="J59" s="20">
        <f>J57*0.10</f>
        <v/>
      </c>
    </row>
    <row r="60">
      <c r="A60" s="19" t="inlineStr">
        <is>
          <t>UTILIDAD (8%)</t>
        </is>
      </c>
      <c r="J60" s="20">
        <f>J57*0.08</f>
        <v/>
      </c>
    </row>
    <row r="61">
      <c r="A61" s="19" t="inlineStr">
        <is>
          <t>SUBTOTAL</t>
        </is>
      </c>
      <c r="J61" s="20">
        <f>J57+J59+J60</f>
        <v/>
      </c>
    </row>
    <row r="62">
      <c r="A62" s="19" t="inlineStr">
        <is>
          <t>IGV (18%)</t>
        </is>
      </c>
      <c r="J62" s="20">
        <f>J61*0.18</f>
        <v/>
      </c>
    </row>
    <row r="63" ht="30" customHeight="1">
      <c r="A63" s="21" t="inlineStr">
        <is>
          <t>PRESUPUESTO TOTAL</t>
        </is>
      </c>
      <c r="J63" s="22">
        <f>J61+J62</f>
        <v/>
      </c>
    </row>
  </sheetData>
  <mergeCells count="22">
    <mergeCell ref="A1:J1"/>
    <mergeCell ref="B3:D3"/>
    <mergeCell ref="G3:H3"/>
    <mergeCell ref="B4:D4"/>
    <mergeCell ref="G4:H4"/>
    <mergeCell ref="B5:D5"/>
    <mergeCell ref="G5:H5"/>
    <mergeCell ref="A8:J8"/>
    <mergeCell ref="A13:J13"/>
    <mergeCell ref="A18:J18"/>
    <mergeCell ref="A25:J25"/>
    <mergeCell ref="A30:J30"/>
    <mergeCell ref="A35:J35"/>
    <mergeCell ref="A41:J41"/>
    <mergeCell ref="A47:J47"/>
    <mergeCell ref="A52:J52"/>
    <mergeCell ref="A57:E57"/>
    <mergeCell ref="A59:E59"/>
    <mergeCell ref="A60:E60"/>
    <mergeCell ref="A61:E61"/>
    <mergeCell ref="A62:E62"/>
    <mergeCell ref="A63:E6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2"/>
  <sheetViews>
    <sheetView workbookViewId="0">
      <selection activeCell="A1" sqref="A1"/>
    </sheetView>
  </sheetViews>
  <sheetFormatPr baseColWidth="8" defaultRowHeight="15"/>
  <cols>
    <col width="50" customWidth="1" min="1" max="1"/>
    <col width="60" customWidth="1" min="2" max="2"/>
  </cols>
  <sheetData>
    <row r="1" ht="40" customHeight="1">
      <c r="A1" s="1" t="inlineStr">
        <is>
          <t>INSTRUCCIONES DE USO - PLANTILLA DE PRESUPUESTO DE OBRA</t>
        </is>
      </c>
    </row>
    <row r="3" ht="30" customHeight="1">
      <c r="A3" s="23" t="inlineStr"/>
    </row>
    <row r="4" ht="30" customHeight="1">
      <c r="A4" s="24" t="inlineStr">
        <is>
          <t>📋 DESCRIPCIÓN GENERAL</t>
        </is>
      </c>
    </row>
    <row r="5" ht="30" customHeight="1">
      <c r="A5" s="23" t="inlineStr">
        <is>
          <t>Esta plantilla le permite crear presupuestos profesionales de obras de construcción de manera rápida y eficiente. Incluye todas las partidas principales de una obra residencial.</t>
        </is>
      </c>
    </row>
    <row r="6" ht="30" customHeight="1">
      <c r="A6" s="23" t="inlineStr"/>
    </row>
    <row r="7" ht="30" customHeight="1">
      <c r="A7" s="24" t="inlineStr">
        <is>
          <t>🎯 HOJAS INCLUIDAS</t>
        </is>
      </c>
    </row>
    <row r="8" ht="20" customHeight="1">
      <c r="A8" s="25" t="inlineStr">
        <is>
          <t>1. Presupuesto de Obra</t>
        </is>
      </c>
      <c r="B8" s="23" t="inlineStr">
        <is>
          <t>Presupuesto detallado con todas las partidas organizadas por categorías</t>
        </is>
      </c>
    </row>
    <row r="9" ht="20" customHeight="1">
      <c r="A9" s="25" t="inlineStr">
        <is>
          <t>2. Resumen Ejecutivo</t>
        </is>
      </c>
      <c r="B9" s="23" t="inlineStr">
        <is>
          <t>Vista consolidada de costos por categoría con gráficos</t>
        </is>
      </c>
    </row>
    <row r="10" ht="20" customHeight="1">
      <c r="A10" s="25" t="inlineStr">
        <is>
          <t>3. Lista de Materiales</t>
        </is>
      </c>
      <c r="B10" s="23" t="inlineStr">
        <is>
          <t>Listado completo de materiales con proveedores</t>
        </is>
      </c>
    </row>
    <row r="11" ht="20" customHeight="1">
      <c r="A11" s="25" t="inlineStr">
        <is>
          <t>4. Mano de Obra</t>
        </is>
      </c>
      <c r="B11" s="23" t="inlineStr">
        <is>
          <t>Desglose de costos de personal por especialidad</t>
        </is>
      </c>
    </row>
    <row r="12" ht="20" customHeight="1">
      <c r="A12" s="25" t="inlineStr">
        <is>
          <t>5. Instrucciones</t>
        </is>
      </c>
      <c r="B12" s="23" t="inlineStr">
        <is>
          <t>Esta hoja con guía de uso</t>
        </is>
      </c>
    </row>
    <row r="13" ht="30" customHeight="1">
      <c r="A13" s="23" t="inlineStr"/>
    </row>
    <row r="14" ht="30" customHeight="1">
      <c r="A14" s="24" t="inlineStr">
        <is>
          <t>✏️ CÓMO USAR LA PLANTILLA</t>
        </is>
      </c>
    </row>
    <row r="15" ht="30" customHeight="1">
      <c r="A15" s="26" t="inlineStr">
        <is>
          <t>Paso 1:</t>
        </is>
      </c>
      <c r="B15" s="23" t="inlineStr">
        <is>
          <t>Complete los datos del proyecto en la parte superior (Nombre, Cliente, Ubicación, etc.)</t>
        </is>
      </c>
    </row>
    <row r="16" ht="20" customHeight="1">
      <c r="A16" s="26" t="inlineStr">
        <is>
          <t>Paso 2:</t>
        </is>
      </c>
      <c r="B16" s="23" t="inlineStr">
        <is>
          <t>Modifique las cantidades y precios unitarios según su proyecto específico</t>
        </is>
      </c>
    </row>
    <row r="17" ht="30" customHeight="1">
      <c r="A17" s="26" t="inlineStr">
        <is>
          <t>Paso 3:</t>
        </is>
      </c>
      <c r="B17" s="23" t="inlineStr">
        <is>
          <t>Agregue o elimine partidas según sea necesario (los totales se actualizan automáticamente)</t>
        </is>
      </c>
    </row>
    <row r="18" ht="20" customHeight="1">
      <c r="A18" s="26" t="inlineStr">
        <is>
          <t>Paso 4:</t>
        </is>
      </c>
      <c r="B18" s="23" t="inlineStr">
        <is>
          <t>Revise el Resumen Ejecutivo para ver la distribución de costos</t>
        </is>
      </c>
    </row>
    <row r="19" ht="20" customHeight="1">
      <c r="A19" s="26" t="inlineStr">
        <is>
          <t>Paso 5:</t>
        </is>
      </c>
      <c r="B19" s="23" t="inlineStr">
        <is>
          <t>Ajuste los porcentajes de Gastos Generales, Utilidad e IGV si es necesario</t>
        </is>
      </c>
    </row>
    <row r="20" ht="30" customHeight="1">
      <c r="A20" s="23" t="inlineStr"/>
    </row>
    <row r="21" ht="30" customHeight="1">
      <c r="A21" s="24" t="inlineStr">
        <is>
          <t>💡 CONSEJOS IMPORTANTES</t>
        </is>
      </c>
    </row>
    <row r="22" ht="30" customHeight="1">
      <c r="A22" s="25" t="inlineStr">
        <is>
          <t>✓</t>
        </is>
      </c>
      <c r="B22" s="23" t="inlineStr">
        <is>
          <t>Los totales se calculan automáticamente con fórmulas - no los modifique manualmente</t>
        </is>
      </c>
    </row>
    <row r="23" ht="20" customHeight="1">
      <c r="A23" s="25" t="inlineStr">
        <is>
          <t>✓</t>
        </is>
      </c>
      <c r="B23" s="23" t="inlineStr">
        <is>
          <t>Mantenga el formato de las celdas para preservar la apariencia profesional</t>
        </is>
      </c>
    </row>
    <row r="24" ht="20" customHeight="1">
      <c r="A24" s="25" t="inlineStr">
        <is>
          <t>✓</t>
        </is>
      </c>
      <c r="B24" s="23" t="inlineStr">
        <is>
          <t>Use las hojas de Materiales y Mano de Obra para detallar costos específicos</t>
        </is>
      </c>
    </row>
    <row r="25" ht="20" customHeight="1">
      <c r="A25" s="25" t="inlineStr">
        <is>
          <t>✓</t>
        </is>
      </c>
      <c r="B25" s="23" t="inlineStr">
        <is>
          <t>Actualice regularmente los precios según el mercado local</t>
        </is>
      </c>
    </row>
    <row r="26" ht="20" customHeight="1">
      <c r="A26" s="25" t="inlineStr">
        <is>
          <t>✓</t>
        </is>
      </c>
      <c r="B26" s="23" t="inlineStr">
        <is>
          <t>Guarde una copia de respaldo antes de hacer cambios importantes</t>
        </is>
      </c>
    </row>
    <row r="27" ht="30" customHeight="1">
      <c r="A27" s="23" t="inlineStr"/>
    </row>
    <row r="28" ht="30" customHeight="1">
      <c r="A28" s="24" t="inlineStr">
        <is>
          <t>🔧 PERSONALIZACIÓN</t>
        </is>
      </c>
    </row>
    <row r="29" ht="20" customHeight="1">
      <c r="A29" s="23" t="inlineStr">
        <is>
          <t>Puede personalizar los siguientes elementos:</t>
        </is>
      </c>
    </row>
    <row r="30" ht="20" customHeight="1">
      <c r="A30" s="25" t="inlineStr">
        <is>
          <t>• Categorías:</t>
        </is>
      </c>
      <c r="B30" s="23" t="inlineStr">
        <is>
          <t>Agregue o elimine categorías según el tipo de obra</t>
        </is>
      </c>
    </row>
    <row r="31" ht="20" customHeight="1">
      <c r="A31" s="25" t="inlineStr">
        <is>
          <t>• Partidas:</t>
        </is>
      </c>
      <c r="B31" s="23" t="inlineStr">
        <is>
          <t>Añada partidas específicas dentro de cada categoría</t>
        </is>
      </c>
    </row>
    <row r="32" ht="20" customHeight="1">
      <c r="A32" s="25" t="inlineStr">
        <is>
          <t>• Porcentajes:</t>
        </is>
      </c>
      <c r="B32" s="23" t="inlineStr">
        <is>
          <t>Ajuste gastos generales (típicamente 8-12%) y utilidad (5-10%)</t>
        </is>
      </c>
    </row>
    <row r="33" ht="20" customHeight="1">
      <c r="A33" s="25" t="inlineStr">
        <is>
          <t>• Proveedores:</t>
        </is>
      </c>
      <c r="B33" s="23" t="inlineStr">
        <is>
          <t>Actualice la lista de proveedores en la hoja de Materiales</t>
        </is>
      </c>
    </row>
    <row r="34" ht="30" customHeight="1">
      <c r="A34" s="23" t="inlineStr"/>
    </row>
    <row r="35" ht="30" customHeight="1">
      <c r="A35" s="24" t="inlineStr">
        <is>
          <t>📊 ANÁLISIS DE COSTOS</t>
        </is>
      </c>
    </row>
    <row r="36" ht="20" customHeight="1">
      <c r="A36" s="23" t="inlineStr">
        <is>
          <t>El presupuesto incluye desglose en:</t>
        </is>
      </c>
    </row>
    <row r="37" ht="20" customHeight="1">
      <c r="A37" s="25" t="inlineStr">
        <is>
          <t>• Materiales:</t>
        </is>
      </c>
      <c r="B37" s="23" t="inlineStr">
        <is>
          <t>Aproximadamente 45-55% del costo directo</t>
        </is>
      </c>
    </row>
    <row r="38" ht="20" customHeight="1">
      <c r="A38" s="25" t="inlineStr">
        <is>
          <t>• Mano de Obra:</t>
        </is>
      </c>
      <c r="B38" s="23" t="inlineStr">
        <is>
          <t>Aproximadamente 25-35% del costo directo</t>
        </is>
      </c>
    </row>
    <row r="39" ht="20" customHeight="1">
      <c r="A39" s="25" t="inlineStr">
        <is>
          <t>• Equipos:</t>
        </is>
      </c>
      <c r="B39" s="23" t="inlineStr">
        <is>
          <t>Aproximadamente 15-25% del costo directo</t>
        </is>
      </c>
    </row>
    <row r="40" ht="30" customHeight="1">
      <c r="A40" s="23" t="inlineStr"/>
    </row>
    <row r="41" ht="30" customHeight="1">
      <c r="A41" s="24" t="inlineStr">
        <is>
          <t>⚠️ ADVERTENCIAS</t>
        </is>
      </c>
    </row>
    <row r="42" ht="20" customHeight="1">
      <c r="A42" s="23" t="inlineStr">
        <is>
          <t>• Esta es una plantilla referencial - ajuste según su proyecto específico</t>
        </is>
      </c>
    </row>
    <row r="43" ht="20" customHeight="1">
      <c r="A43" s="23" t="inlineStr">
        <is>
          <t>• Los precios son referenciales - verifique con proveedores locales</t>
        </is>
      </c>
    </row>
    <row r="44" ht="20" customHeight="1">
      <c r="A44" s="23" t="inlineStr">
        <is>
          <t>• Considere contingencias adicionales (5-10% del total)</t>
        </is>
      </c>
    </row>
    <row r="45" ht="20" customHeight="1">
      <c r="A45" s="23" t="inlineStr">
        <is>
          <t>• Consulte con profesionales para proyectos complejos</t>
        </is>
      </c>
    </row>
    <row r="46" ht="30" customHeight="1">
      <c r="A46" s="23" t="inlineStr"/>
    </row>
    <row r="47" ht="30" customHeight="1">
      <c r="A47" s="24" t="inlineStr">
        <is>
          <t>📞 INFORMACIÓN ADICIONAL</t>
        </is>
      </c>
    </row>
    <row r="48" ht="20" customHeight="1">
      <c r="A48" s="23" t="inlineStr">
        <is>
          <t>Para obtener mejores resultados:</t>
        </is>
      </c>
    </row>
    <row r="49" ht="20" customHeight="1">
      <c r="A49" s="23" t="inlineStr">
        <is>
          <t>1. Realice un metrado detallado antes de presupuestar</t>
        </is>
      </c>
    </row>
    <row r="50" ht="20" customHeight="1">
      <c r="A50" s="23" t="inlineStr">
        <is>
          <t>2. Solicite cotizaciones a múltiples proveedores</t>
        </is>
      </c>
    </row>
    <row r="51" ht="20" customHeight="1">
      <c r="A51" s="23" t="inlineStr">
        <is>
          <t>3. Considere factores externos (clima, acceso, etc.)</t>
        </is>
      </c>
    </row>
    <row r="52" ht="20" customHeight="1">
      <c r="A52" s="23" t="inlineStr">
        <is>
          <t>4. Mantenga un registro de costos reales para futuros proyectos</t>
        </is>
      </c>
    </row>
  </sheetData>
  <mergeCells count="29">
    <mergeCell ref="A1:E1"/>
    <mergeCell ref="A3:B3"/>
    <mergeCell ref="A4:B4"/>
    <mergeCell ref="A5:B5"/>
    <mergeCell ref="A6:B6"/>
    <mergeCell ref="A7:B7"/>
    <mergeCell ref="A13:B13"/>
    <mergeCell ref="A14:B14"/>
    <mergeCell ref="A20:B20"/>
    <mergeCell ref="A21:B21"/>
    <mergeCell ref="A27:B27"/>
    <mergeCell ref="A28:B28"/>
    <mergeCell ref="A29:B29"/>
    <mergeCell ref="A34:B34"/>
    <mergeCell ref="A35:B35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18" customWidth="1" min="4" max="4"/>
    <col width="18" customWidth="1" min="5" max="5"/>
    <col width="18" customWidth="1" min="6" max="6"/>
  </cols>
  <sheetData>
    <row r="1" ht="35" customHeight="1">
      <c r="A1" s="1" t="inlineStr">
        <is>
          <t>RESUMEN EJECUTIVO DEL PRESUPUESTO</t>
        </is>
      </c>
    </row>
    <row r="3">
      <c r="A3" s="5" t="inlineStr">
        <is>
          <t>CATEGORÍA</t>
        </is>
      </c>
      <c r="B3" s="5" t="inlineStr">
        <is>
          <t>COSTO DIRECTO</t>
        </is>
      </c>
      <c r="C3" s="5" t="inlineStr">
        <is>
          <t>% DEL TOTAL</t>
        </is>
      </c>
      <c r="D3" s="5" t="inlineStr">
        <is>
          <t>MATERIALES</t>
        </is>
      </c>
      <c r="E3" s="5" t="inlineStr">
        <is>
          <t>MANO DE OBRA</t>
        </is>
      </c>
      <c r="F3" s="5" t="inlineStr">
        <is>
          <t>EQUIPOS</t>
        </is>
      </c>
    </row>
    <row r="4">
      <c r="A4" s="27" t="inlineStr">
        <is>
          <t>PRELIMINARES</t>
        </is>
      </c>
      <c r="B4" s="11" t="n">
        <v>13200</v>
      </c>
      <c r="C4" s="28">
        <f>B4/B13</f>
        <v/>
      </c>
      <c r="D4" s="11" t="n">
        <v>6600</v>
      </c>
      <c r="E4" s="11" t="n">
        <v>3960</v>
      </c>
      <c r="F4" s="11" t="n">
        <v>2640</v>
      </c>
    </row>
    <row r="5">
      <c r="A5" s="27" t="inlineStr">
        <is>
          <t>MOVIMIENTO DE TIERRAS</t>
        </is>
      </c>
      <c r="B5" s="11" t="n">
        <v>14525</v>
      </c>
      <c r="C5" s="28">
        <f>B5/B14</f>
        <v/>
      </c>
      <c r="D5" s="11" t="n">
        <v>7262.5</v>
      </c>
      <c r="E5" s="11" t="n">
        <v>4357.5</v>
      </c>
      <c r="F5" s="11" t="n">
        <v>2905</v>
      </c>
    </row>
    <row r="6">
      <c r="A6" s="27" t="inlineStr">
        <is>
          <t>OBRAS DE CONCRETO</t>
        </is>
      </c>
      <c r="B6" s="11" t="n">
        <v>128390</v>
      </c>
      <c r="C6" s="28">
        <f>B6/B15</f>
        <v/>
      </c>
      <c r="D6" s="11" t="n">
        <v>64195</v>
      </c>
      <c r="E6" s="11" t="n">
        <v>38517</v>
      </c>
      <c r="F6" s="11" t="n">
        <v>25678</v>
      </c>
    </row>
    <row r="7">
      <c r="A7" s="27" t="inlineStr">
        <is>
          <t>ALBAÑILERÍA</t>
        </is>
      </c>
      <c r="B7" s="11" t="n">
        <v>67750</v>
      </c>
      <c r="C7" s="28">
        <f>B7/B16</f>
        <v/>
      </c>
      <c r="D7" s="11" t="n">
        <v>33875</v>
      </c>
      <c r="E7" s="11" t="n">
        <v>20325</v>
      </c>
      <c r="F7" s="11" t="n">
        <v>13550</v>
      </c>
    </row>
    <row r="8">
      <c r="A8" s="27" t="inlineStr">
        <is>
          <t>PISOS Y REVESTIMIENTOS</t>
        </is>
      </c>
      <c r="B8" s="11" t="n">
        <v>34020</v>
      </c>
      <c r="C8" s="28">
        <f>B8/B17</f>
        <v/>
      </c>
      <c r="D8" s="11" t="n">
        <v>17010</v>
      </c>
      <c r="E8" s="11" t="n">
        <v>10206</v>
      </c>
      <c r="F8" s="11" t="n">
        <v>6804</v>
      </c>
    </row>
    <row r="9">
      <c r="A9" s="27" t="inlineStr">
        <is>
          <t>INSTALACIONES SANITARIAS</t>
        </is>
      </c>
      <c r="B9" s="11" t="n">
        <v>12410</v>
      </c>
      <c r="C9" s="28">
        <f>B9/B18</f>
        <v/>
      </c>
      <c r="D9" s="11" t="n">
        <v>6205</v>
      </c>
      <c r="E9" s="11" t="n">
        <v>3723</v>
      </c>
      <c r="F9" s="11" t="n">
        <v>2482</v>
      </c>
    </row>
    <row r="10">
      <c r="A10" s="27" t="inlineStr">
        <is>
          <t>INSTALACIONES ELÉCTRICAS</t>
        </is>
      </c>
      <c r="B10" s="11" t="n">
        <v>10380</v>
      </c>
      <c r="C10" s="28">
        <f>B10/B19</f>
        <v/>
      </c>
      <c r="D10" s="11" t="n">
        <v>5190</v>
      </c>
      <c r="E10" s="11" t="n">
        <v>3114</v>
      </c>
      <c r="F10" s="11" t="n">
        <v>2076</v>
      </c>
    </row>
    <row r="11">
      <c r="A11" s="27" t="inlineStr">
        <is>
          <t>CARPINTERÍA Y VIDRIOS</t>
        </is>
      </c>
      <c r="B11" s="11" t="n">
        <v>23085</v>
      </c>
      <c r="C11" s="28">
        <f>B11/B20</f>
        <v/>
      </c>
      <c r="D11" s="11" t="n">
        <v>11542.5</v>
      </c>
      <c r="E11" s="11" t="n">
        <v>6925.5</v>
      </c>
      <c r="F11" s="11" t="n">
        <v>4617</v>
      </c>
    </row>
    <row r="12">
      <c r="A12" s="27" t="inlineStr">
        <is>
          <t>PINTURA</t>
        </is>
      </c>
      <c r="B12" s="11" t="n">
        <v>19170</v>
      </c>
      <c r="C12" s="28">
        <f>B12/B21</f>
        <v/>
      </c>
      <c r="D12" s="11" t="n">
        <v>9585</v>
      </c>
      <c r="E12" s="11" t="n">
        <v>5751</v>
      </c>
      <c r="F12" s="11" t="n">
        <v>3834</v>
      </c>
    </row>
    <row r="13">
      <c r="A13" s="29" t="inlineStr">
        <is>
          <t>TOTAL</t>
        </is>
      </c>
      <c r="B13" s="18">
        <f>SUM(B4:B12)</f>
        <v/>
      </c>
      <c r="C13" s="30">
        <f>SUM(C4:C12)</f>
        <v/>
      </c>
      <c r="D13" s="18">
        <f>SUM(D4:D12)</f>
        <v/>
      </c>
      <c r="E13" s="18">
        <f>SUM(E4:E12)</f>
        <v/>
      </c>
      <c r="F13" s="18">
        <f>SUM(F4:F12)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5" customWidth="1" min="3" max="3"/>
    <col width="18" customWidth="1" min="4" max="4"/>
    <col width="18" customWidth="1" min="5" max="5"/>
    <col width="25" customWidth="1" min="6" max="6"/>
    <col width="30" customWidth="1" min="7" max="7"/>
  </cols>
  <sheetData>
    <row r="1" ht="35" customHeight="1">
      <c r="A1" s="1" t="inlineStr">
        <is>
          <t>LISTA DETALLADA DE MATERIALES</t>
        </is>
      </c>
    </row>
    <row r="3">
      <c r="A3" s="5" t="inlineStr">
        <is>
          <t>MATERIAL</t>
        </is>
      </c>
      <c r="B3" s="5" t="inlineStr">
        <is>
          <t>UNIDAD</t>
        </is>
      </c>
      <c r="C3" s="5" t="inlineStr">
        <is>
          <t>CANTIDAD TOTAL</t>
        </is>
      </c>
      <c r="D3" s="5" t="inlineStr">
        <is>
          <t>PRECIO UNITARIO</t>
        </is>
      </c>
      <c r="E3" s="5" t="inlineStr">
        <is>
          <t>COSTO TOTAL</t>
        </is>
      </c>
      <c r="F3" s="5" t="inlineStr">
        <is>
          <t>PROVEEDOR</t>
        </is>
      </c>
      <c r="G3" s="5" t="inlineStr">
        <is>
          <t>OBSERVACIONES</t>
        </is>
      </c>
    </row>
    <row r="4">
      <c r="A4" s="8" t="inlineStr">
        <is>
          <t>Cemento Portland Tipo I</t>
        </is>
      </c>
      <c r="B4" s="7" t="inlineStr">
        <is>
          <t>Bolsa</t>
        </is>
      </c>
      <c r="C4" s="31" t="n">
        <v>850</v>
      </c>
      <c r="D4" s="32" t="n">
        <v>28.5</v>
      </c>
      <c r="E4" s="32">
        <f>C4*D4</f>
        <v/>
      </c>
      <c r="F4" s="8" t="inlineStr">
        <is>
          <t>Cementos del Norte</t>
        </is>
      </c>
      <c r="G4" s="8" t="inlineStr">
        <is>
          <t>Almacenar en lugar seco</t>
        </is>
      </c>
    </row>
    <row r="5">
      <c r="A5" s="8" t="inlineStr">
        <is>
          <t>Arena gruesa</t>
        </is>
      </c>
      <c r="B5" s="7" t="inlineStr">
        <is>
          <t>m³</t>
        </is>
      </c>
      <c r="C5" s="31" t="n">
        <v>180</v>
      </c>
      <c r="D5" s="32" t="n">
        <v>45</v>
      </c>
      <c r="E5" s="32">
        <f>C5*D5</f>
        <v/>
      </c>
      <c r="F5" s="8" t="inlineStr">
        <is>
          <t>Cantera San Juan</t>
        </is>
      </c>
      <c r="G5" s="8" t="inlineStr">
        <is>
          <t>Verificar granulometría</t>
        </is>
      </c>
    </row>
    <row r="6">
      <c r="A6" s="8" t="inlineStr">
        <is>
          <t>Piedra chancada 1/2"</t>
        </is>
      </c>
      <c r="B6" s="7" t="inlineStr">
        <is>
          <t>m³</t>
        </is>
      </c>
      <c r="C6" s="31" t="n">
        <v>140</v>
      </c>
      <c r="D6" s="32" t="n">
        <v>55</v>
      </c>
      <c r="E6" s="32">
        <f>C6*D6</f>
        <v/>
      </c>
      <c r="F6" s="8" t="inlineStr">
        <is>
          <t>Cantera San Juan</t>
        </is>
      </c>
      <c r="G6" s="8" t="inlineStr">
        <is>
          <t>Libre de impurezas</t>
        </is>
      </c>
    </row>
    <row r="7">
      <c r="A7" s="8" t="inlineStr">
        <is>
          <t>Ladrillo King Kong 18 huecos</t>
        </is>
      </c>
      <c r="B7" s="7" t="inlineStr">
        <is>
          <t>Millar</t>
        </is>
      </c>
      <c r="C7" s="31" t="n">
        <v>85</v>
      </c>
      <c r="D7" s="32" t="n">
        <v>420</v>
      </c>
      <c r="E7" s="32">
        <f>C7*D7</f>
        <v/>
      </c>
      <c r="F7" s="8" t="inlineStr">
        <is>
          <t>Ladrillera El Sol</t>
        </is>
      </c>
      <c r="G7" s="8" t="inlineStr">
        <is>
          <t>Verificar resistencia</t>
        </is>
      </c>
    </row>
    <row r="8">
      <c r="A8" s="8" t="inlineStr">
        <is>
          <t>Acero corrugado fy=4200</t>
        </is>
      </c>
      <c r="B8" s="7" t="inlineStr">
        <is>
          <t>Ton</t>
        </is>
      </c>
      <c r="C8" s="31" t="n">
        <v>8.5</v>
      </c>
      <c r="D8" s="32" t="n">
        <v>3750</v>
      </c>
      <c r="E8" s="32">
        <f>C8*D8</f>
        <v/>
      </c>
      <c r="F8" s="8" t="inlineStr">
        <is>
          <t>Aceros Comerciales</t>
        </is>
      </c>
      <c r="G8" s="8" t="inlineStr">
        <is>
          <t>Incluye habilitación</t>
        </is>
      </c>
    </row>
    <row r="9">
      <c r="A9" s="8" t="inlineStr">
        <is>
          <t>Madera tornillo para encofrado</t>
        </is>
      </c>
      <c r="B9" s="7" t="inlineStr">
        <is>
          <t>p²</t>
        </is>
      </c>
      <c r="C9" s="31" t="n">
        <v>1200</v>
      </c>
      <c r="D9" s="32" t="n">
        <v>6.5</v>
      </c>
      <c r="E9" s="32">
        <f>C9*D9</f>
        <v/>
      </c>
      <c r="F9" s="8" t="inlineStr">
        <is>
          <t>Maderera Los Pinos</t>
        </is>
      </c>
      <c r="G9" s="8" t="inlineStr">
        <is>
          <t>Tratada contra humedad</t>
        </is>
      </c>
    </row>
    <row r="10">
      <c r="A10" s="8" t="inlineStr">
        <is>
          <t>Tubería PVC SAP 3/4"</t>
        </is>
      </c>
      <c r="B10" s="7" t="inlineStr">
        <is>
          <t>m</t>
        </is>
      </c>
      <c r="C10" s="31" t="n">
        <v>280</v>
      </c>
      <c r="D10" s="32" t="n">
        <v>8.5</v>
      </c>
      <c r="E10" s="32">
        <f>C10*D10</f>
        <v/>
      </c>
      <c r="F10" s="8" t="inlineStr">
        <is>
          <t>Distribuidora PVC</t>
        </is>
      </c>
      <c r="G10" s="8" t="inlineStr">
        <is>
          <t>Presión PN 10</t>
        </is>
      </c>
    </row>
    <row r="11">
      <c r="A11" s="8" t="inlineStr">
        <is>
          <t>Tubería PVC SAL 4"</t>
        </is>
      </c>
      <c r="B11" s="7" t="inlineStr">
        <is>
          <t>m</t>
        </is>
      </c>
      <c r="C11" s="31" t="n">
        <v>180</v>
      </c>
      <c r="D11" s="32" t="n">
        <v>12</v>
      </c>
      <c r="E11" s="32">
        <f>C11*D11</f>
        <v/>
      </c>
      <c r="F11" s="8" t="inlineStr">
        <is>
          <t>Distribuidora PVC</t>
        </is>
      </c>
      <c r="G11" s="8" t="inlineStr">
        <is>
          <t>Clase pesada</t>
        </is>
      </c>
    </row>
    <row r="12">
      <c r="A12" s="8" t="inlineStr">
        <is>
          <t>Cerámico piso 40x40cm</t>
        </is>
      </c>
      <c r="B12" s="7" t="inlineStr">
        <is>
          <t>m²</t>
        </is>
      </c>
      <c r="C12" s="31" t="n">
        <v>280</v>
      </c>
      <c r="D12" s="32" t="n">
        <v>42</v>
      </c>
      <c r="E12" s="32">
        <f>C12*D12</f>
        <v/>
      </c>
      <c r="F12" s="8" t="inlineStr">
        <is>
          <t>Cerámica del Norte</t>
        </is>
      </c>
      <c r="G12" s="8" t="inlineStr">
        <is>
          <t>Primera calidad</t>
        </is>
      </c>
    </row>
    <row r="13">
      <c r="A13" s="8" t="inlineStr">
        <is>
          <t>Porcelanato 60x60cm</t>
        </is>
      </c>
      <c r="B13" s="7" t="inlineStr">
        <is>
          <t>m²</t>
        </is>
      </c>
      <c r="C13" s="31" t="n">
        <v>140</v>
      </c>
      <c r="D13" s="32" t="n">
        <v>65</v>
      </c>
      <c r="E13" s="32">
        <f>C13*D13</f>
        <v/>
      </c>
      <c r="F13" s="8" t="inlineStr">
        <is>
          <t>Cerámica Premium</t>
        </is>
      </c>
      <c r="G13" s="8" t="inlineStr">
        <is>
          <t>Rectificado</t>
        </is>
      </c>
    </row>
    <row r="14">
      <c r="A14" s="8" t="inlineStr">
        <is>
          <t>Cable eléctrico NYY 3x10mm²</t>
        </is>
      </c>
      <c r="B14" s="7" t="inlineStr">
        <is>
          <t>m</t>
        </is>
      </c>
      <c r="C14" s="31" t="n">
        <v>280</v>
      </c>
      <c r="D14" s="32" t="n">
        <v>6.8</v>
      </c>
      <c r="E14" s="32">
        <f>C14*D14</f>
        <v/>
      </c>
      <c r="F14" s="8" t="inlineStr">
        <is>
          <t>Cables del Perú</t>
        </is>
      </c>
      <c r="G14" s="8" t="inlineStr">
        <is>
          <t>Certificado</t>
        </is>
      </c>
    </row>
    <row r="15">
      <c r="A15" s="8" t="inlineStr">
        <is>
          <t>Pintura látex interior</t>
        </is>
      </c>
      <c r="B15" s="7" t="inlineStr">
        <is>
          <t>Galon</t>
        </is>
      </c>
      <c r="C15" s="31" t="n">
        <v>120</v>
      </c>
      <c r="D15" s="32" t="n">
        <v>85</v>
      </c>
      <c r="E15" s="32">
        <f>C15*D15</f>
        <v/>
      </c>
      <c r="F15" s="8" t="inlineStr">
        <is>
          <t>Pinturas Cosmos</t>
        </is>
      </c>
      <c r="G15" s="8" t="inlineStr">
        <is>
          <t>Rendimiento 35m²/gal</t>
        </is>
      </c>
    </row>
    <row r="16">
      <c r="A16" s="8" t="inlineStr">
        <is>
          <t>Pintura látex exterior</t>
        </is>
      </c>
      <c r="B16" s="7" t="inlineStr">
        <is>
          <t>Galon</t>
        </is>
      </c>
      <c r="C16" s="31" t="n">
        <v>80</v>
      </c>
      <c r="D16" s="32" t="n">
        <v>95</v>
      </c>
      <c r="E16" s="32">
        <f>C16*D16</f>
        <v/>
      </c>
      <c r="F16" s="8" t="inlineStr">
        <is>
          <t>Pinturas Cosmos</t>
        </is>
      </c>
      <c r="G16" s="8" t="inlineStr">
        <is>
          <t>Resistente UV</t>
        </is>
      </c>
    </row>
    <row r="17">
      <c r="A17" s="33" t="inlineStr">
        <is>
          <t>TOTAL MATERIALES</t>
        </is>
      </c>
      <c r="E17" s="34">
        <f>SUM(E4:E16)</f>
        <v/>
      </c>
    </row>
  </sheetData>
  <mergeCells count="2">
    <mergeCell ref="A1:G1"/>
    <mergeCell ref="A17:D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5" customWidth="1" min="4" max="4"/>
    <col width="12" customWidth="1" min="5" max="5"/>
    <col width="18" customWidth="1" min="6" max="6"/>
  </cols>
  <sheetData>
    <row r="1" ht="35" customHeight="1">
      <c r="A1" s="1" t="inlineStr">
        <is>
          <t>PRESUPUESTO DE MANO DE OBRA</t>
        </is>
      </c>
    </row>
    <row r="3">
      <c r="A3" s="5" t="inlineStr">
        <is>
          <t>ESPECIALIDAD</t>
        </is>
      </c>
      <c r="B3" s="5" t="inlineStr">
        <is>
          <t>UNIDAD</t>
        </is>
      </c>
      <c r="C3" s="5" t="inlineStr">
        <is>
          <t>CANTIDAD</t>
        </is>
      </c>
      <c r="D3" s="5" t="inlineStr">
        <is>
          <t>TARIFA/DÍA</t>
        </is>
      </c>
      <c r="E3" s="5" t="inlineStr">
        <is>
          <t>DÍAS</t>
        </is>
      </c>
      <c r="F3" s="5" t="inlineStr">
        <is>
          <t>COSTO TOTAL</t>
        </is>
      </c>
    </row>
    <row r="4">
      <c r="A4" s="8" t="inlineStr">
        <is>
          <t>Oficial Albañil</t>
        </is>
      </c>
      <c r="B4" s="8" t="inlineStr">
        <is>
          <t>Jornal</t>
        </is>
      </c>
      <c r="C4" s="35" t="n">
        <v>4</v>
      </c>
      <c r="D4" s="11" t="n">
        <v>85</v>
      </c>
      <c r="E4" s="35" t="n">
        <v>120</v>
      </c>
      <c r="F4" s="11">
        <f>C4*D4*E4</f>
        <v/>
      </c>
    </row>
    <row r="5">
      <c r="A5" s="8" t="inlineStr">
        <is>
          <t>Peón</t>
        </is>
      </c>
      <c r="B5" s="8" t="inlineStr">
        <is>
          <t>Jornal</t>
        </is>
      </c>
      <c r="C5" s="35" t="n">
        <v>6</v>
      </c>
      <c r="D5" s="11" t="n">
        <v>65</v>
      </c>
      <c r="E5" s="35" t="n">
        <v>120</v>
      </c>
      <c r="F5" s="11">
        <f>C5*D5*E5</f>
        <v/>
      </c>
    </row>
    <row r="6">
      <c r="A6" s="8" t="inlineStr">
        <is>
          <t>Operario Fierrero</t>
        </is>
      </c>
      <c r="B6" s="8" t="inlineStr">
        <is>
          <t>Jornal</t>
        </is>
      </c>
      <c r="C6" s="35" t="n">
        <v>3</v>
      </c>
      <c r="D6" s="11" t="n">
        <v>90</v>
      </c>
      <c r="E6" s="35" t="n">
        <v>45</v>
      </c>
      <c r="F6" s="11">
        <f>C6*D6*E6</f>
        <v/>
      </c>
    </row>
    <row r="7">
      <c r="A7" s="8" t="inlineStr">
        <is>
          <t>Operario Carpintero</t>
        </is>
      </c>
      <c r="B7" s="8" t="inlineStr">
        <is>
          <t>Jornal</t>
        </is>
      </c>
      <c r="C7" s="35" t="n">
        <v>2</v>
      </c>
      <c r="D7" s="11" t="n">
        <v>90</v>
      </c>
      <c r="E7" s="35" t="n">
        <v>30</v>
      </c>
      <c r="F7" s="11">
        <f>C7*D7*E7</f>
        <v/>
      </c>
    </row>
    <row r="8">
      <c r="A8" s="8" t="inlineStr">
        <is>
          <t>Gasfitero</t>
        </is>
      </c>
      <c r="B8" s="8" t="inlineStr">
        <is>
          <t>Jornal</t>
        </is>
      </c>
      <c r="C8" s="35" t="n">
        <v>2</v>
      </c>
      <c r="D8" s="11" t="n">
        <v>95</v>
      </c>
      <c r="E8" s="35" t="n">
        <v>25</v>
      </c>
      <c r="F8" s="11">
        <f>C8*D8*E8</f>
        <v/>
      </c>
    </row>
    <row r="9">
      <c r="A9" s="8" t="inlineStr">
        <is>
          <t>Electricista</t>
        </is>
      </c>
      <c r="B9" s="8" t="inlineStr">
        <is>
          <t>Jornal</t>
        </is>
      </c>
      <c r="C9" s="35" t="n">
        <v>2</v>
      </c>
      <c r="D9" s="11" t="n">
        <v>95</v>
      </c>
      <c r="E9" s="35" t="n">
        <v>28</v>
      </c>
      <c r="F9" s="11">
        <f>C9*D9*E9</f>
        <v/>
      </c>
    </row>
    <row r="10">
      <c r="A10" s="8" t="inlineStr">
        <is>
          <t>Pintor</t>
        </is>
      </c>
      <c r="B10" s="8" t="inlineStr">
        <is>
          <t>Jornal</t>
        </is>
      </c>
      <c r="C10" s="35" t="n">
        <v>2</v>
      </c>
      <c r="D10" s="11" t="n">
        <v>80</v>
      </c>
      <c r="E10" s="35" t="n">
        <v>20</v>
      </c>
      <c r="F10" s="11">
        <f>C10*D10*E10</f>
        <v/>
      </c>
    </row>
    <row r="11">
      <c r="A11" s="8" t="inlineStr">
        <is>
          <t>Maestro de Obra</t>
        </is>
      </c>
      <c r="B11" s="8" t="inlineStr">
        <is>
          <t>Mes</t>
        </is>
      </c>
      <c r="C11" s="35" t="n">
        <v>1</v>
      </c>
      <c r="D11" s="11" t="n">
        <v>2800</v>
      </c>
      <c r="E11" s="35" t="n">
        <v>4</v>
      </c>
      <c r="F11" s="11">
        <f>C11*D11*E11</f>
        <v/>
      </c>
    </row>
    <row r="12">
      <c r="A12" s="8" t="inlineStr">
        <is>
          <t>Ingeniero Residente</t>
        </is>
      </c>
      <c r="B12" s="8" t="inlineStr">
        <is>
          <t>Mes</t>
        </is>
      </c>
      <c r="C12" s="35" t="n">
        <v>1</v>
      </c>
      <c r="D12" s="11" t="n">
        <v>4500</v>
      </c>
      <c r="E12" s="35" t="n">
        <v>4</v>
      </c>
      <c r="F12" s="11">
        <f>C12*D12*E12</f>
        <v/>
      </c>
    </row>
    <row r="13">
      <c r="A13" s="8" t="inlineStr">
        <is>
          <t>Topógrafo</t>
        </is>
      </c>
      <c r="B13" s="8" t="inlineStr">
        <is>
          <t>Jornal</t>
        </is>
      </c>
      <c r="C13" s="35" t="n">
        <v>1</v>
      </c>
      <c r="D13" s="11" t="n">
        <v>120</v>
      </c>
      <c r="E13" s="35" t="n">
        <v>15</v>
      </c>
      <c r="F13" s="11">
        <f>C13*D13*E13</f>
        <v/>
      </c>
    </row>
    <row r="14">
      <c r="A14" s="8" t="inlineStr">
        <is>
          <t>Operador de maquinaria</t>
        </is>
      </c>
      <c r="B14" s="8" t="inlineStr">
        <is>
          <t>Jornal</t>
        </is>
      </c>
      <c r="C14" s="35" t="n">
        <v>1</v>
      </c>
      <c r="D14" s="11" t="n">
        <v>150</v>
      </c>
      <c r="E14" s="35" t="n">
        <v>20</v>
      </c>
      <c r="F14" s="11">
        <f>C14*D14*E14</f>
        <v/>
      </c>
    </row>
    <row r="15">
      <c r="A15" s="33" t="inlineStr">
        <is>
          <t>TOTAL MANO DE OBRA</t>
        </is>
      </c>
      <c r="F15" s="34">
        <f>SUM(F4:F14)</f>
        <v/>
      </c>
    </row>
  </sheetData>
  <mergeCells count="2">
    <mergeCell ref="A1:F1"/>
    <mergeCell ref="A15:E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2026-01-14T16:47:08Z</dcterms:created>
  <dcterms:modified xmlns:dcterms="http://purl.org/dc/terms/" xmlns:xsi="http://www.w3.org/2001/XMLSchema-instance" xsi:type="dcterms:W3CDTF">2026-01-14T16:47:08Z</dcterms:modified>
</cp:coreProperties>
</file>